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4895" windowHeight="7935" activeTab="2"/>
  </bookViews>
  <sheets>
    <sheet name="OR RR z-test" sheetId="1" r:id="rId1"/>
    <sheet name="t-test" sheetId="2" r:id="rId2"/>
    <sheet name="pro z-test" sheetId="3" r:id="rId3"/>
    <sheet name="ANOVA" sheetId="4" r:id="rId4"/>
  </sheets>
  <calcPr calcId="125725"/>
</workbook>
</file>

<file path=xl/calcChain.xml><?xml version="1.0" encoding="utf-8"?>
<calcChain xmlns="http://schemas.openxmlformats.org/spreadsheetml/2006/main">
  <c r="A86" i="2"/>
  <c r="B84"/>
  <c r="A74"/>
  <c r="B72"/>
  <c r="A25"/>
  <c r="B24"/>
  <c r="A55"/>
  <c r="B53"/>
  <c r="A43"/>
  <c r="B41"/>
  <c r="F15" i="4"/>
  <c r="F13"/>
  <c r="C38" i="3"/>
  <c r="B38"/>
  <c r="B26"/>
  <c r="A38"/>
  <c r="A26"/>
  <c r="B15"/>
  <c r="B16" s="1"/>
  <c r="B17" s="1"/>
  <c r="B37" s="1"/>
  <c r="C85" i="2"/>
  <c r="B85"/>
  <c r="B73"/>
  <c r="B42"/>
  <c r="C54"/>
  <c r="B54"/>
  <c r="A73"/>
  <c r="A85"/>
  <c r="A42"/>
  <c r="A54"/>
  <c r="B64"/>
  <c r="B63"/>
  <c r="C33" i="1"/>
  <c r="C31"/>
  <c r="C32" s="1"/>
  <c r="B37" s="1"/>
  <c r="B35"/>
  <c r="B34"/>
  <c r="B20"/>
  <c r="B19"/>
  <c r="D6"/>
  <c r="D7"/>
  <c r="C8"/>
  <c r="B8"/>
  <c r="A33" i="3"/>
  <c r="A30"/>
  <c r="A21"/>
  <c r="A68" i="2"/>
  <c r="A37"/>
  <c r="A18" i="3"/>
  <c r="A77" i="2"/>
  <c r="A65"/>
  <c r="A19"/>
  <c r="A80"/>
  <c r="A49"/>
  <c r="A46"/>
  <c r="A34"/>
  <c r="G14" i="4"/>
  <c r="F4"/>
  <c r="G13" s="1"/>
  <c r="H13" s="1"/>
  <c r="I5"/>
  <c r="B23" i="2"/>
  <c r="B33"/>
  <c r="D8" i="1" l="1"/>
  <c r="C36"/>
  <c r="A27" i="3"/>
  <c r="A39"/>
  <c r="B25"/>
  <c r="F14" i="4"/>
  <c r="H14" s="1"/>
  <c r="I13" s="1"/>
  <c r="I4"/>
  <c r="G15" s="1"/>
  <c r="C34" i="1"/>
  <c r="C35" s="1"/>
  <c r="D34"/>
  <c r="D35" s="1"/>
  <c r="C16"/>
  <c r="C17" s="1"/>
  <c r="C18"/>
  <c r="C21" l="1"/>
  <c r="B22"/>
  <c r="E16" i="4"/>
  <c r="J13"/>
  <c r="F5"/>
  <c r="D19" i="1"/>
  <c r="D20" s="1"/>
  <c r="C19"/>
  <c r="C20" s="1"/>
</calcChain>
</file>

<file path=xl/sharedStrings.xml><?xml version="1.0" encoding="utf-8"?>
<sst xmlns="http://schemas.openxmlformats.org/spreadsheetml/2006/main" count="80" uniqueCount="72">
  <si>
    <t>樣本平均值</t>
    <phoneticPr fontId="1" type="noConversion"/>
  </si>
  <si>
    <t>樣本標準差</t>
    <phoneticPr fontId="1" type="noConversion"/>
  </si>
  <si>
    <t>樣本數</t>
    <phoneticPr fontId="1" type="noConversion"/>
  </si>
  <si>
    <t>total mean</t>
    <phoneticPr fontId="2" type="noConversion"/>
  </si>
  <si>
    <t>SSTotal</t>
    <phoneticPr fontId="2" type="noConversion"/>
  </si>
  <si>
    <t>SSBetween</t>
    <phoneticPr fontId="2" type="noConversion"/>
  </si>
  <si>
    <t>SSWithin</t>
    <phoneticPr fontId="2" type="noConversion"/>
  </si>
  <si>
    <t>變方分析表</t>
    <phoneticPr fontId="2" type="noConversion"/>
  </si>
  <si>
    <t>source of variance</t>
    <phoneticPr fontId="2" type="noConversion"/>
  </si>
  <si>
    <t>df</t>
    <phoneticPr fontId="2" type="noConversion"/>
  </si>
  <si>
    <t>SS</t>
    <phoneticPr fontId="2" type="noConversion"/>
  </si>
  <si>
    <t>MS</t>
    <phoneticPr fontId="2" type="noConversion"/>
  </si>
  <si>
    <t>F</t>
    <phoneticPr fontId="2" type="noConversion"/>
  </si>
  <si>
    <t>顯著水準</t>
    <phoneticPr fontId="1" type="noConversion"/>
  </si>
  <si>
    <t>between</t>
    <phoneticPr fontId="2" type="noConversion"/>
  </si>
  <si>
    <t>within</t>
    <phoneticPr fontId="2" type="noConversion"/>
  </si>
  <si>
    <t>total</t>
    <phoneticPr fontId="2" type="noConversion"/>
  </si>
  <si>
    <t>組別名稱</t>
    <phoneticPr fontId="1" type="noConversion"/>
  </si>
  <si>
    <t>組別名稱</t>
    <phoneticPr fontId="1" type="noConversion"/>
  </si>
  <si>
    <t>A</t>
    <phoneticPr fontId="1" type="noConversion"/>
  </si>
  <si>
    <t>B</t>
    <phoneticPr fontId="1" type="noConversion"/>
  </si>
  <si>
    <t>樣本比例值</t>
    <phoneticPr fontId="1" type="noConversion"/>
  </si>
  <si>
    <t>兩樣本平均比例值</t>
    <phoneticPr fontId="1" type="noConversion"/>
  </si>
  <si>
    <t>兩樣本比例差之變異數</t>
    <phoneticPr fontId="1" type="noConversion"/>
  </si>
  <si>
    <t>Z 絕對值</t>
    <phoneticPr fontId="1" type="noConversion"/>
  </si>
  <si>
    <t xml:space="preserve">P-value </t>
    <phoneticPr fontId="1" type="noConversion"/>
  </si>
  <si>
    <t>B</t>
    <phoneticPr fontId="2" type="noConversion"/>
  </si>
  <si>
    <t>C</t>
    <phoneticPr fontId="2" type="noConversion"/>
  </si>
  <si>
    <t>disease</t>
    <phoneticPr fontId="1" type="noConversion"/>
  </si>
  <si>
    <t>non-disease</t>
    <phoneticPr fontId="1" type="noConversion"/>
  </si>
  <si>
    <t>Total</t>
    <phoneticPr fontId="1" type="noConversion"/>
  </si>
  <si>
    <t>exposure</t>
    <phoneticPr fontId="1" type="noConversion"/>
  </si>
  <si>
    <t>non-exposure</t>
    <phoneticPr fontId="1" type="noConversion"/>
  </si>
  <si>
    <t>Cohort Study 適用此報表</t>
    <phoneticPr fontId="1" type="noConversion"/>
  </si>
  <si>
    <t>log(RR)</t>
    <phoneticPr fontId="1" type="noConversion"/>
  </si>
  <si>
    <t>se(log RR)</t>
    <phoneticPr fontId="1" type="noConversion"/>
  </si>
  <si>
    <t>P-value</t>
    <phoneticPr fontId="1" type="noConversion"/>
  </si>
  <si>
    <r>
      <t>Odds Ratio</t>
    </r>
    <r>
      <rPr>
        <b/>
        <sz val="12"/>
        <color indexed="8"/>
        <rFont val="微軟正黑體"/>
        <family val="2"/>
        <charset val="136"/>
      </rPr>
      <t xml:space="preserve"> </t>
    </r>
    <r>
      <rPr>
        <b/>
        <sz val="22"/>
        <color indexed="8"/>
        <rFont val="微軟正黑體"/>
        <family val="2"/>
        <charset val="136"/>
      </rPr>
      <t>(OR)</t>
    </r>
    <r>
      <rPr>
        <b/>
        <sz val="12"/>
        <color indexed="8"/>
        <rFont val="微軟正黑體"/>
        <family val="2"/>
        <charset val="136"/>
      </rPr>
      <t xml:space="preserve"> </t>
    </r>
    <r>
      <rPr>
        <b/>
        <sz val="22"/>
        <color indexed="8"/>
        <rFont val="微軟正黑體"/>
        <family val="2"/>
        <charset val="136"/>
      </rPr>
      <t>報表</t>
    </r>
    <phoneticPr fontId="1" type="noConversion"/>
  </si>
  <si>
    <t>Case-Control Study 適用此報表</t>
    <phoneticPr fontId="1" type="noConversion"/>
  </si>
  <si>
    <t>Odds Ratio (OR)</t>
    <phoneticPr fontId="1" type="noConversion"/>
  </si>
  <si>
    <t>log(OR)</t>
    <phoneticPr fontId="1" type="noConversion"/>
  </si>
  <si>
    <t>se(log OR)</t>
    <phoneticPr fontId="1" type="noConversion"/>
  </si>
  <si>
    <t>P-value</t>
    <phoneticPr fontId="2" type="noConversion"/>
  </si>
  <si>
    <t>組別名稱</t>
    <phoneticPr fontId="1" type="noConversion"/>
  </si>
  <si>
    <t>B</t>
    <phoneticPr fontId="1" type="noConversion"/>
  </si>
  <si>
    <t>樣本標準差</t>
    <phoneticPr fontId="1" type="noConversion"/>
  </si>
  <si>
    <t>樣本數</t>
    <phoneticPr fontId="1" type="noConversion"/>
  </si>
  <si>
    <r>
      <rPr>
        <b/>
        <sz val="22"/>
        <color indexed="8"/>
        <rFont val="微軟正黑體"/>
        <family val="2"/>
        <charset val="136"/>
      </rPr>
      <t>F-test</t>
    </r>
    <r>
      <rPr>
        <b/>
        <sz val="12"/>
        <color indexed="8"/>
        <rFont val="微軟正黑體"/>
        <family val="2"/>
        <charset val="136"/>
      </rPr>
      <t xml:space="preserve"> </t>
    </r>
    <r>
      <rPr>
        <b/>
        <sz val="22"/>
        <color indexed="8"/>
        <rFont val="微軟正黑體"/>
        <family val="2"/>
        <charset val="136"/>
      </rPr>
      <t>報表</t>
    </r>
    <phoneticPr fontId="1" type="noConversion"/>
  </si>
  <si>
    <t>首先以 F-test 看兩種樣本的變異程度是否一樣，再依據結果決定往下看哪個報表。
若已知兩樣本變異程度是否相同，可直接略過此表並接續 t-test 報表。</t>
    <phoneticPr fontId="1" type="noConversion"/>
  </si>
  <si>
    <t>F 值</t>
    <phoneticPr fontId="1" type="noConversion"/>
  </si>
  <si>
    <t>P-value</t>
    <phoneticPr fontId="1" type="noConversion"/>
  </si>
  <si>
    <r>
      <t>t-test</t>
    </r>
    <r>
      <rPr>
        <b/>
        <sz val="12"/>
        <color indexed="8"/>
        <rFont val="微軟正黑體"/>
        <family val="2"/>
        <charset val="136"/>
      </rPr>
      <t xml:space="preserve"> </t>
    </r>
    <r>
      <rPr>
        <b/>
        <sz val="22"/>
        <color indexed="8"/>
        <rFont val="微軟正黑體"/>
        <family val="2"/>
        <charset val="136"/>
      </rPr>
      <t>報表 1 (變異數相同)</t>
    </r>
    <phoneticPr fontId="1" type="noConversion"/>
  </si>
  <si>
    <t>t 絕對值</t>
    <phoneticPr fontId="1" type="noConversion"/>
  </si>
  <si>
    <t xml:space="preserve">P-value </t>
    <phoneticPr fontId="1" type="noConversion"/>
  </si>
  <si>
    <t>t-test 報表 2 (變異數不同)</t>
    <phoneticPr fontId="1" type="noConversion"/>
  </si>
  <si>
    <t>自由度</t>
    <phoneticPr fontId="1" type="noConversion"/>
  </si>
  <si>
    <t>顯著水準</t>
    <phoneticPr fontId="1" type="noConversion"/>
  </si>
  <si>
    <t>z-test 報表</t>
    <phoneticPr fontId="1" type="noConversion"/>
  </si>
  <si>
    <r>
      <t>這個平台以 t-test 來比較兩種樣本是否有所不同，請先分別輸入</t>
    </r>
    <r>
      <rPr>
        <b/>
        <sz val="12"/>
        <color rgb="FFFF0000"/>
        <rFont val="微軟正黑體"/>
        <family val="2"/>
        <charset val="136"/>
      </rPr>
      <t>組別名稱</t>
    </r>
    <r>
      <rPr>
        <b/>
        <sz val="12"/>
        <color indexed="8"/>
        <rFont val="微軟正黑體"/>
        <family val="2"/>
        <charset val="136"/>
      </rPr>
      <t>、</t>
    </r>
    <r>
      <rPr>
        <b/>
        <sz val="12"/>
        <color rgb="FFFF0000"/>
        <rFont val="微軟正黑體"/>
        <family val="2"/>
        <charset val="136"/>
      </rPr>
      <t>樣本平均值</t>
    </r>
    <r>
      <rPr>
        <b/>
        <sz val="12"/>
        <color indexed="8"/>
        <rFont val="微軟正黑體"/>
        <family val="2"/>
        <charset val="136"/>
      </rPr>
      <t>、</t>
    </r>
    <r>
      <rPr>
        <b/>
        <sz val="12"/>
        <color rgb="FFFF0000"/>
        <rFont val="微軟正黑體"/>
        <family val="2"/>
        <charset val="136"/>
      </rPr>
      <t>樣本標準差</t>
    </r>
    <r>
      <rPr>
        <b/>
        <sz val="12"/>
        <color indexed="8"/>
        <rFont val="微軟正黑體"/>
        <family val="2"/>
        <charset val="136"/>
      </rPr>
      <t>、</t>
    </r>
    <r>
      <rPr>
        <b/>
        <sz val="12"/>
        <color rgb="FFFF0000"/>
        <rFont val="微軟正黑體"/>
        <family val="2"/>
        <charset val="136"/>
      </rPr>
      <t>樣本數</t>
    </r>
    <r>
      <rPr>
        <b/>
        <sz val="12"/>
        <color indexed="8"/>
        <rFont val="微軟正黑體"/>
        <family val="2"/>
        <charset val="136"/>
      </rPr>
      <t>、及</t>
    </r>
    <r>
      <rPr>
        <b/>
        <sz val="12"/>
        <color rgb="FFFF0000"/>
        <rFont val="微軟正黑體"/>
        <family val="2"/>
        <charset val="136"/>
      </rPr>
      <t>顯著水準</t>
    </r>
    <r>
      <rPr>
        <b/>
        <sz val="12"/>
        <color indexed="8"/>
        <rFont val="微軟正黑體"/>
        <family val="2"/>
        <charset val="136"/>
      </rPr>
      <t xml:space="preserve"> (藍色部分)
若要比較大小，請將預期平均值比較大的組別輸入表格左側；預期平均值比較小的組別輸入表格右側 
(例如，欲比較大小的平均值為 560 及 454.2，則將平均值為 560 的組別輸入左側)</t>
    </r>
    <phoneticPr fontId="1" type="noConversion"/>
  </si>
  <si>
    <r>
      <t>這個平台以 z-test 來比較兩種樣本比例是否有所不同，請先分別輸入</t>
    </r>
    <r>
      <rPr>
        <b/>
        <sz val="12"/>
        <color rgb="FFFF0000"/>
        <rFont val="微軟正黑體"/>
        <family val="2"/>
        <charset val="136"/>
      </rPr>
      <t>組別名稱</t>
    </r>
    <r>
      <rPr>
        <b/>
        <sz val="12"/>
        <color indexed="8"/>
        <rFont val="微軟正黑體"/>
        <family val="2"/>
        <charset val="136"/>
      </rPr>
      <t>、</t>
    </r>
    <r>
      <rPr>
        <b/>
        <sz val="12"/>
        <color rgb="FFFF0000"/>
        <rFont val="微軟正黑體"/>
        <family val="2"/>
        <charset val="136"/>
      </rPr>
      <t>樣本比例值</t>
    </r>
    <r>
      <rPr>
        <b/>
        <sz val="12"/>
        <color indexed="8"/>
        <rFont val="微軟正黑體"/>
        <family val="2"/>
        <charset val="136"/>
      </rPr>
      <t>、</t>
    </r>
    <r>
      <rPr>
        <b/>
        <sz val="12"/>
        <color rgb="FFFF0000"/>
        <rFont val="微軟正黑體"/>
        <family val="2"/>
        <charset val="136"/>
      </rPr>
      <t>樣本數</t>
    </r>
    <r>
      <rPr>
        <b/>
        <sz val="12"/>
        <color indexed="8"/>
        <rFont val="微軟正黑體"/>
        <family val="2"/>
        <charset val="136"/>
      </rPr>
      <t>、及</t>
    </r>
    <r>
      <rPr>
        <b/>
        <sz val="12"/>
        <color rgb="FFFF0000"/>
        <rFont val="微軟正黑體"/>
        <family val="2"/>
        <charset val="136"/>
      </rPr>
      <t xml:space="preserve">顯著水準 </t>
    </r>
    <r>
      <rPr>
        <b/>
        <sz val="12"/>
        <color indexed="8"/>
        <rFont val="微軟正黑體"/>
        <family val="2"/>
        <charset val="136"/>
      </rPr>
      <t>(藍色部分)
若要比較大小，請將預期比例值比較大的組別輸入表格左側；預期比例值比較小的組別輸入表格右側 
(例如，欲比較大小的比例值為 0.8 及 0.6，則將比例值為 0.8 的組別輸入左側)</t>
    </r>
    <phoneticPr fontId="1" type="noConversion"/>
  </si>
  <si>
    <t>A</t>
    <phoneticPr fontId="1" type="noConversion"/>
  </si>
  <si>
    <t>顯著水準</t>
    <phoneticPr fontId="1" type="noConversion"/>
  </si>
  <si>
    <t>F-test 顯著水準</t>
    <phoneticPr fontId="1" type="noConversion"/>
  </si>
  <si>
    <t>t-test 顯著水準</t>
    <phoneticPr fontId="1" type="noConversion"/>
  </si>
  <si>
    <r>
      <t>這個平台以變異數分析 (Analysis of Variance, ANOVA) 來比較各組樣本是否有所不同，請先分別輸入</t>
    </r>
    <r>
      <rPr>
        <b/>
        <sz val="12"/>
        <color rgb="FFFF0000"/>
        <rFont val="微軟正黑體"/>
        <family val="2"/>
        <charset val="136"/>
      </rPr>
      <t>組別名稱</t>
    </r>
    <r>
      <rPr>
        <b/>
        <sz val="12"/>
        <color indexed="8"/>
        <rFont val="微軟正黑體"/>
        <family val="2"/>
        <charset val="136"/>
      </rPr>
      <t>、</t>
    </r>
    <r>
      <rPr>
        <b/>
        <sz val="12"/>
        <color rgb="FFFF0000"/>
        <rFont val="微軟正黑體"/>
        <family val="2"/>
        <charset val="136"/>
      </rPr>
      <t>樣本平均值</t>
    </r>
    <r>
      <rPr>
        <b/>
        <sz val="12"/>
        <color indexed="8"/>
        <rFont val="微軟正黑體"/>
        <family val="2"/>
        <charset val="136"/>
      </rPr>
      <t>、</t>
    </r>
    <r>
      <rPr>
        <b/>
        <sz val="12"/>
        <color rgb="FFFF0000"/>
        <rFont val="微軟正黑體"/>
        <family val="2"/>
        <charset val="136"/>
      </rPr>
      <t>樣本標準差</t>
    </r>
    <r>
      <rPr>
        <b/>
        <sz val="12"/>
        <color indexed="8"/>
        <rFont val="微軟正黑體"/>
        <family val="2"/>
        <charset val="136"/>
      </rPr>
      <t>、</t>
    </r>
    <r>
      <rPr>
        <b/>
        <sz val="12"/>
        <color rgb="FFFF0000"/>
        <rFont val="微軟正黑體"/>
        <family val="2"/>
        <charset val="136"/>
      </rPr>
      <t>樣本數</t>
    </r>
    <r>
      <rPr>
        <b/>
        <sz val="12"/>
        <color indexed="8"/>
        <rFont val="微軟正黑體"/>
        <family val="2"/>
        <charset val="136"/>
      </rPr>
      <t>、及</t>
    </r>
    <r>
      <rPr>
        <b/>
        <sz val="12"/>
        <color rgb="FFFF0000"/>
        <rFont val="微軟正黑體"/>
        <family val="2"/>
        <charset val="136"/>
      </rPr>
      <t>顯著水準</t>
    </r>
    <r>
      <rPr>
        <b/>
        <sz val="12"/>
        <color indexed="8"/>
        <rFont val="微軟正黑體"/>
        <family val="2"/>
        <charset val="136"/>
      </rPr>
      <t xml:space="preserve"> (藍色部分)</t>
    </r>
    <phoneticPr fontId="1" type="noConversion"/>
  </si>
  <si>
    <t>樣本平均值</t>
    <phoneticPr fontId="1" type="noConversion"/>
  </si>
  <si>
    <t>A</t>
    <phoneticPr fontId="1" type="noConversion"/>
  </si>
  <si>
    <t>2 X 2 列聯表</t>
    <phoneticPr fontId="1" type="noConversion"/>
  </si>
  <si>
    <r>
      <t>這個平台以 z-test 來比較 OR 或 RR 是否有所不同，請先分別填妥如下</t>
    </r>
    <r>
      <rPr>
        <b/>
        <sz val="12"/>
        <color rgb="FFFF0000"/>
        <rFont val="微軟正黑體"/>
        <family val="2"/>
        <charset val="136"/>
      </rPr>
      <t xml:space="preserve"> 2 X 2 列聯表</t>
    </r>
    <r>
      <rPr>
        <b/>
        <sz val="12"/>
        <color indexed="8"/>
        <rFont val="微軟正黑體"/>
        <family val="2"/>
        <charset val="136"/>
      </rPr>
      <t>、及</t>
    </r>
    <r>
      <rPr>
        <b/>
        <sz val="12"/>
        <color rgb="FFFF0000"/>
        <rFont val="微軟正黑體"/>
        <family val="2"/>
        <charset val="136"/>
      </rPr>
      <t>顯著水準</t>
    </r>
    <r>
      <rPr>
        <b/>
        <sz val="12"/>
        <color indexed="8"/>
        <rFont val="微軟正黑體"/>
        <family val="2"/>
        <charset val="136"/>
      </rPr>
      <t xml:space="preserve"> (藍色部分)</t>
    </r>
    <phoneticPr fontId="1" type="noConversion"/>
  </si>
  <si>
    <r>
      <t>Risk Ratio (Relative Risk , RR)</t>
    </r>
    <r>
      <rPr>
        <b/>
        <sz val="12"/>
        <color indexed="8"/>
        <rFont val="微軟正黑體"/>
        <family val="2"/>
        <charset val="136"/>
      </rPr>
      <t xml:space="preserve"> </t>
    </r>
    <r>
      <rPr>
        <b/>
        <sz val="22"/>
        <color indexed="8"/>
        <rFont val="微軟正黑體"/>
        <family val="2"/>
        <charset val="136"/>
      </rPr>
      <t>報表</t>
    </r>
    <phoneticPr fontId="1" type="noConversion"/>
  </si>
  <si>
    <t>Risk Ratio (RR)</t>
    <phoneticPr fontId="1" type="noConversion"/>
  </si>
  <si>
    <t>虛無假設：各組的平均值相同
對立假說：至少有其中兩組之間平均值不同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</si>
</sst>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000_ "/>
    <numFmt numFmtId="178" formatCode="0.00000_ "/>
    <numFmt numFmtId="179" formatCode="0.000_ "/>
  </numFmts>
  <fonts count="1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微軟正黑體"/>
      <family val="2"/>
      <charset val="136"/>
    </font>
    <font>
      <b/>
      <sz val="22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color indexed="4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B0F0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3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177" fontId="15" fillId="0" borderId="2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9" fontId="8" fillId="0" borderId="2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12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center" vertical="center"/>
    </xf>
    <xf numFmtId="177" fontId="12" fillId="0" borderId="24" xfId="0" applyNumberFormat="1" applyFont="1" applyBorder="1" applyAlignment="1">
      <alignment horizontal="center" vertical="center"/>
    </xf>
    <xf numFmtId="177" fontId="12" fillId="0" borderId="27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12" fillId="0" borderId="2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12" fillId="0" borderId="1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177" fontId="15" fillId="0" borderId="21" xfId="0" applyNumberFormat="1" applyFont="1" applyBorder="1" applyAlignment="1">
      <alignment horizontal="center" vertical="center"/>
    </xf>
    <xf numFmtId="177" fontId="15" fillId="0" borderId="23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/>
    </xf>
    <xf numFmtId="176" fontId="13" fillId="0" borderId="25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177" fontId="12" fillId="0" borderId="21" xfId="0" applyNumberFormat="1" applyFont="1" applyBorder="1" applyAlignment="1">
      <alignment horizontal="center" vertical="center"/>
    </xf>
    <xf numFmtId="177" fontId="12" fillId="0" borderId="23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177" fontId="12" fillId="0" borderId="26" xfId="0" applyNumberFormat="1" applyFont="1" applyBorder="1" applyAlignment="1">
      <alignment horizontal="center" vertical="center"/>
    </xf>
    <xf numFmtId="177" fontId="12" fillId="0" borderId="2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0" fontId="10" fillId="0" borderId="34" xfId="0" applyNumberFormat="1" applyFont="1" applyBorder="1" applyAlignment="1">
      <alignment horizontal="center" vertical="center"/>
    </xf>
    <xf numFmtId="0" fontId="10" fillId="0" borderId="2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78" fontId="11" fillId="0" borderId="21" xfId="0" applyNumberFormat="1" applyFont="1" applyBorder="1" applyAlignment="1">
      <alignment horizontal="center" vertical="center"/>
    </xf>
    <xf numFmtId="178" fontId="11" fillId="0" borderId="23" xfId="0" applyNumberFormat="1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14" sqref="A14"/>
    </sheetView>
  </sheetViews>
  <sheetFormatPr defaultRowHeight="15.75"/>
  <cols>
    <col min="1" max="4" width="25.625" style="13" customWidth="1"/>
    <col min="5" max="16384" width="9" style="13"/>
  </cols>
  <sheetData>
    <row r="1" spans="1:4" ht="17.25" customHeight="1">
      <c r="A1" s="100" t="s">
        <v>68</v>
      </c>
      <c r="B1" s="101"/>
      <c r="C1" s="101"/>
      <c r="D1" s="102"/>
    </row>
    <row r="2" spans="1:4" ht="16.5" customHeight="1">
      <c r="A2" s="103"/>
      <c r="B2" s="104"/>
      <c r="C2" s="104"/>
      <c r="D2" s="105"/>
    </row>
    <row r="3" spans="1:4" ht="16.5" customHeight="1" thickBot="1">
      <c r="A3" s="103"/>
      <c r="B3" s="104"/>
      <c r="C3" s="104"/>
      <c r="D3" s="105"/>
    </row>
    <row r="4" spans="1:4" ht="30" customHeight="1" thickBot="1">
      <c r="A4" s="108" t="s">
        <v>67</v>
      </c>
      <c r="B4" s="109"/>
      <c r="C4" s="109"/>
      <c r="D4" s="110"/>
    </row>
    <row r="5" spans="1:4" ht="30" customHeight="1">
      <c r="A5" s="59"/>
      <c r="B5" s="60" t="s">
        <v>28</v>
      </c>
      <c r="C5" s="60" t="s">
        <v>29</v>
      </c>
      <c r="D5" s="61" t="s">
        <v>30</v>
      </c>
    </row>
    <row r="6" spans="1:4" ht="30" customHeight="1">
      <c r="A6" s="1" t="s">
        <v>31</v>
      </c>
      <c r="B6" s="17">
        <v>139</v>
      </c>
      <c r="C6" s="17">
        <v>10898</v>
      </c>
      <c r="D6" s="7">
        <f>$B$6+$C$6</f>
        <v>11037</v>
      </c>
    </row>
    <row r="7" spans="1:4" ht="30" customHeight="1">
      <c r="A7" s="1" t="s">
        <v>32</v>
      </c>
      <c r="B7" s="17">
        <v>239</v>
      </c>
      <c r="C7" s="17">
        <v>10795</v>
      </c>
      <c r="D7" s="7">
        <f>$B$7+$C$7</f>
        <v>11034</v>
      </c>
    </row>
    <row r="8" spans="1:4" ht="30" customHeight="1" thickBot="1">
      <c r="A8" s="56" t="s">
        <v>30</v>
      </c>
      <c r="B8" s="11">
        <f>$B$6+$B$7</f>
        <v>378</v>
      </c>
      <c r="C8" s="11">
        <f>$C$6+$C$7</f>
        <v>21693</v>
      </c>
      <c r="D8" s="80">
        <f>$D$6+$D$7</f>
        <v>22071</v>
      </c>
    </row>
    <row r="9" spans="1:4" ht="30" customHeight="1" thickBot="1">
      <c r="A9" s="66" t="s">
        <v>61</v>
      </c>
      <c r="B9" s="106">
        <v>0.05</v>
      </c>
      <c r="C9" s="106"/>
      <c r="D9" s="107"/>
    </row>
    <row r="10" spans="1:4" ht="16.5">
      <c r="A10" s="22"/>
      <c r="B10" s="23"/>
      <c r="C10" s="23"/>
      <c r="D10" s="23"/>
    </row>
    <row r="11" spans="1:4" ht="16.5">
      <c r="A11" s="22"/>
      <c r="B11" s="23"/>
      <c r="C11" s="23"/>
      <c r="D11" s="23"/>
    </row>
    <row r="12" spans="1:4" ht="16.5" thickBot="1"/>
    <row r="13" spans="1:4" s="16" customFormat="1" ht="30" customHeight="1">
      <c r="B13" s="91" t="s">
        <v>69</v>
      </c>
      <c r="C13" s="92"/>
      <c r="D13" s="93"/>
    </row>
    <row r="14" spans="1:4" s="16" customFormat="1" ht="30" customHeight="1" thickBot="1">
      <c r="B14" s="94"/>
      <c r="C14" s="95"/>
      <c r="D14" s="96"/>
    </row>
    <row r="15" spans="1:4" s="16" customFormat="1" ht="30" customHeight="1" thickBot="1">
      <c r="B15" s="97" t="s">
        <v>33</v>
      </c>
      <c r="C15" s="98"/>
      <c r="D15" s="99"/>
    </row>
    <row r="16" spans="1:4" ht="30" customHeight="1" thickBot="1">
      <c r="B16" s="24" t="s">
        <v>70</v>
      </c>
      <c r="C16" s="81">
        <f>$B$6/$D$6/($B$7/$D$7)</f>
        <v>0.58143187445196698</v>
      </c>
      <c r="D16" s="82"/>
    </row>
    <row r="17" spans="1:4" ht="30" customHeight="1" thickBot="1">
      <c r="B17" s="2" t="s">
        <v>34</v>
      </c>
      <c r="C17" s="83">
        <f>LN($C$16)</f>
        <v>-0.54226146874132697</v>
      </c>
      <c r="D17" s="84"/>
    </row>
    <row r="18" spans="1:4" ht="30" customHeight="1" thickBot="1">
      <c r="B18" s="2" t="s">
        <v>35</v>
      </c>
      <c r="C18" s="83">
        <f>(1/$B$6-1/$D$6+1/$B$7-1/$D$7)^0.5</f>
        <v>0.105816405754601</v>
      </c>
      <c r="D18" s="84"/>
    </row>
    <row r="19" spans="1:4" ht="30" customHeight="1" thickBot="1">
      <c r="B19" s="25" t="str">
        <f>(100-100*$B$9)&amp;"%信賴區間 (logRR)"</f>
        <v>95%信賴區間 (logRR)</v>
      </c>
      <c r="C19" s="26">
        <f>$C$17-NORMSINV(1-$B$9/2)*$C$18</f>
        <v>-0.74965781299382184</v>
      </c>
      <c r="D19" s="26">
        <f>$C$17+NORMSINV(1-$B$9/2)*$C$18</f>
        <v>-0.3348651244888321</v>
      </c>
    </row>
    <row r="20" spans="1:4" ht="30" customHeight="1" thickBot="1">
      <c r="B20" s="24" t="str">
        <f>(100-100*$B$9)&amp;"%信賴區間 (RR)"</f>
        <v>95%信賴區間 (RR)</v>
      </c>
      <c r="C20" s="27">
        <f>EXP($C$19)</f>
        <v>0.47252821809583029</v>
      </c>
      <c r="D20" s="27">
        <f>EXP($D$19)</f>
        <v>0.71543457444940906</v>
      </c>
    </row>
    <row r="21" spans="1:4" ht="30" customHeight="1" thickBot="1">
      <c r="B21" s="24" t="s">
        <v>36</v>
      </c>
      <c r="C21" s="81" t="str">
        <f>IF(2*(1-NORMDIST(ABS($C$17/$C$18),0,1,1))&lt;0.0001,"&lt;0.0001",2*(1-NORMDIST(ABS($C$17/$C$18),0,1,1)))</f>
        <v>&lt;0.0001</v>
      </c>
      <c r="D21" s="82"/>
    </row>
    <row r="22" spans="1:4" ht="15" customHeight="1">
      <c r="B22" s="85" t="str">
        <f>IF(2*(1-NORMDIST(ABS($C$17/$C$18),0,1,1))&gt;$B$9,CONCATENATE("P-value &gt; ",$B$9," , ",100*(1-$B$9),"% 信賴區間包含 1 , 所以 RR 值在統計上沒有顯著意義"),CONCATENATE("P-value &lt; ",$B$9," , ",100*(1-$B$9),"% 信賴區間不包含 1 , 所以 RR 值在統計上達到顯著意義"))</f>
        <v>P-value &lt; 0.05 , 95% 信賴區間不包含 1 , 所以 RR 值在統計上達到顯著意義</v>
      </c>
      <c r="C22" s="86"/>
      <c r="D22" s="87"/>
    </row>
    <row r="23" spans="1:4" ht="15.75" customHeight="1" thickBot="1">
      <c r="B23" s="88"/>
      <c r="C23" s="89"/>
      <c r="D23" s="90"/>
    </row>
    <row r="24" spans="1:4" ht="16.5">
      <c r="A24" s="22"/>
      <c r="B24" s="23"/>
      <c r="C24" s="23"/>
      <c r="D24" s="23"/>
    </row>
    <row r="25" spans="1:4" ht="16.5">
      <c r="A25" s="22"/>
      <c r="B25" s="23"/>
      <c r="C25" s="23"/>
      <c r="D25" s="23"/>
    </row>
    <row r="26" spans="1:4">
      <c r="A26" s="23"/>
      <c r="B26" s="23"/>
      <c r="C26" s="23"/>
    </row>
    <row r="27" spans="1:4" ht="17.25" thickBot="1">
      <c r="A27" s="28"/>
      <c r="B27" s="28"/>
      <c r="C27" s="28"/>
    </row>
    <row r="28" spans="1:4" s="16" customFormat="1" ht="30" customHeight="1">
      <c r="B28" s="91" t="s">
        <v>37</v>
      </c>
      <c r="C28" s="92"/>
      <c r="D28" s="93"/>
    </row>
    <row r="29" spans="1:4" s="16" customFormat="1" ht="30" customHeight="1" thickBot="1">
      <c r="B29" s="94"/>
      <c r="C29" s="95"/>
      <c r="D29" s="96"/>
    </row>
    <row r="30" spans="1:4" s="16" customFormat="1" ht="30" customHeight="1" thickBot="1">
      <c r="B30" s="97" t="s">
        <v>38</v>
      </c>
      <c r="C30" s="98"/>
      <c r="D30" s="99"/>
    </row>
    <row r="31" spans="1:4" ht="30" customHeight="1" thickBot="1">
      <c r="B31" s="24" t="s">
        <v>39</v>
      </c>
      <c r="C31" s="81">
        <f>$B$6*$C$7/($B$7*$C$6)</f>
        <v>0.57609319125769498</v>
      </c>
      <c r="D31" s="82"/>
    </row>
    <row r="32" spans="1:4" ht="30" customHeight="1" thickBot="1">
      <c r="B32" s="2" t="s">
        <v>40</v>
      </c>
      <c r="C32" s="83">
        <f>LN($C$31)</f>
        <v>-0.55148584099495479</v>
      </c>
      <c r="D32" s="84"/>
    </row>
    <row r="33" spans="1:4" ht="30" customHeight="1" thickBot="1">
      <c r="B33" s="2" t="s">
        <v>41</v>
      </c>
      <c r="C33" s="83">
        <f>(1/$B$6+1/$C$6+1/$B$7+1/$C$7)^0.5</f>
        <v>0.10753018393953587</v>
      </c>
      <c r="D33" s="84"/>
    </row>
    <row r="34" spans="1:4" ht="30" customHeight="1" thickBot="1">
      <c r="B34" s="54" t="str">
        <f>(100-100*$B$9)&amp;"%信賴區間 (logOR)"</f>
        <v>95%信賴區間 (logOR)</v>
      </c>
      <c r="C34" s="26">
        <f>$C$32-NORMSINV(1-$B$9/2)*$C$33</f>
        <v>-0.76224112876741246</v>
      </c>
      <c r="D34" s="29">
        <f>$C$32+NORMSINV(1-$B$9/2)*$C$33</f>
        <v>-0.34073055322249712</v>
      </c>
    </row>
    <row r="35" spans="1:4" ht="30" customHeight="1" thickBot="1">
      <c r="B35" s="24" t="str">
        <f>(100-100*$B$9)&amp;"%信賴區間 (OR)"</f>
        <v>95%信賴區間 (OR)</v>
      </c>
      <c r="C35" s="27">
        <f>EXP($C$34)</f>
        <v>0.46661949991419649</v>
      </c>
      <c r="D35" s="27">
        <f>EXP($D$34)</f>
        <v>0.71125052655215426</v>
      </c>
    </row>
    <row r="36" spans="1:4" ht="30" customHeight="1" thickBot="1">
      <c r="B36" s="24" t="s">
        <v>36</v>
      </c>
      <c r="C36" s="81" t="str">
        <f>IF(2*(1-NORMDIST(ABS($C$32/$C$33),0,1,1))&lt;0.0001,"&lt;0.0001",2*(1-NORMDIST(ABS($C$32/$C$33),0,1,1)))</f>
        <v>&lt;0.0001</v>
      </c>
      <c r="D36" s="82"/>
    </row>
    <row r="37" spans="1:4" ht="15" customHeight="1">
      <c r="B37" s="85" t="str">
        <f>IF(2*(1-NORMDIST(ABS($C$32/$C$33),0,1,1))&gt;$B$9,CONCATENATE("P-value &gt; ",$B$9," , ",100*(1-$B$9),"% 信賴區間包含 1 , 所以 OR 值在統計上沒有顯著意義"),CONCATENATE("P-value &lt; ",$B$9," , ",100*(1-$B$9),"% 信賴區間不包含 1 , 所以 OR 值在統計上達到顯著意義"))</f>
        <v>P-value &lt; 0.05 , 95% 信賴區間不包含 1 , 所以 OR 值在統計上達到顯著意義</v>
      </c>
      <c r="C37" s="86"/>
      <c r="D37" s="87"/>
    </row>
    <row r="38" spans="1:4" ht="15.75" customHeight="1" thickBot="1">
      <c r="B38" s="88"/>
      <c r="C38" s="89"/>
      <c r="D38" s="90"/>
    </row>
    <row r="44" spans="1:4">
      <c r="A44" s="30"/>
      <c r="B44" s="30"/>
    </row>
  </sheetData>
  <sheetProtection sheet="1" objects="1" scenarios="1"/>
  <protectedRanges>
    <protectedRange sqref="B6:C7" name="範圍1"/>
    <protectedRange sqref="B9" name="範圍2"/>
  </protectedRanges>
  <mergeCells count="17">
    <mergeCell ref="A1:D3"/>
    <mergeCell ref="B13:D14"/>
    <mergeCell ref="B15:D15"/>
    <mergeCell ref="C16:D16"/>
    <mergeCell ref="C17:D17"/>
    <mergeCell ref="B9:D9"/>
    <mergeCell ref="A4:D4"/>
    <mergeCell ref="C18:D18"/>
    <mergeCell ref="C21:D21"/>
    <mergeCell ref="B22:D23"/>
    <mergeCell ref="B28:D29"/>
    <mergeCell ref="B30:D30"/>
    <mergeCell ref="C31:D31"/>
    <mergeCell ref="C32:D32"/>
    <mergeCell ref="C33:D33"/>
    <mergeCell ref="C36:D36"/>
    <mergeCell ref="B37:D38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2"/>
  <sheetViews>
    <sheetView topLeftCell="A46" workbookViewId="0">
      <selection activeCell="B13" sqref="B13"/>
    </sheetView>
  </sheetViews>
  <sheetFormatPr defaultRowHeight="15.75"/>
  <cols>
    <col min="1" max="3" width="39.875" style="16" customWidth="1"/>
    <col min="4" max="4" width="27.25" style="16" customWidth="1"/>
    <col min="5" max="16384" width="9" style="16"/>
  </cols>
  <sheetData>
    <row r="1" spans="1:3">
      <c r="A1" s="147" t="s">
        <v>58</v>
      </c>
      <c r="B1" s="148"/>
      <c r="C1" s="149"/>
    </row>
    <row r="2" spans="1:3" ht="15.75" customHeight="1">
      <c r="A2" s="150"/>
      <c r="B2" s="151"/>
      <c r="C2" s="152"/>
    </row>
    <row r="3" spans="1:3" ht="15.75" customHeight="1">
      <c r="A3" s="150"/>
      <c r="B3" s="151"/>
      <c r="C3" s="152"/>
    </row>
    <row r="4" spans="1:3" ht="15.75" customHeight="1" thickBot="1">
      <c r="A4" s="150"/>
      <c r="B4" s="151"/>
      <c r="C4" s="152"/>
    </row>
    <row r="5" spans="1:3" ht="30" customHeight="1">
      <c r="A5" s="5" t="s">
        <v>43</v>
      </c>
      <c r="B5" s="62" t="s">
        <v>66</v>
      </c>
      <c r="C5" s="63" t="s">
        <v>44</v>
      </c>
    </row>
    <row r="6" spans="1:3" ht="30" customHeight="1">
      <c r="A6" s="1" t="s">
        <v>65</v>
      </c>
      <c r="B6" s="17">
        <v>560</v>
      </c>
      <c r="C6" s="18">
        <v>454.2</v>
      </c>
    </row>
    <row r="7" spans="1:3" s="42" customFormat="1" ht="30" customHeight="1">
      <c r="A7" s="1" t="s">
        <v>45</v>
      </c>
      <c r="B7" s="17">
        <v>133.1</v>
      </c>
      <c r="C7" s="18">
        <v>129.4</v>
      </c>
    </row>
    <row r="8" spans="1:3" s="42" customFormat="1" ht="30" customHeight="1" thickBot="1">
      <c r="A8" s="56" t="s">
        <v>46</v>
      </c>
      <c r="B8" s="64">
        <v>11</v>
      </c>
      <c r="C8" s="65">
        <v>12</v>
      </c>
    </row>
    <row r="9" spans="1:3" ht="30" customHeight="1">
      <c r="A9" s="5" t="s">
        <v>62</v>
      </c>
      <c r="B9" s="123">
        <v>0.05</v>
      </c>
      <c r="C9" s="124"/>
    </row>
    <row r="10" spans="1:3" ht="30" customHeight="1" thickBot="1">
      <c r="A10" s="38" t="s">
        <v>63</v>
      </c>
      <c r="B10" s="157">
        <v>0.05</v>
      </c>
      <c r="C10" s="158"/>
    </row>
    <row r="11" spans="1:3" ht="16.5">
      <c r="A11" s="43"/>
      <c r="B11" s="44"/>
      <c r="C11" s="44"/>
    </row>
    <row r="12" spans="1:3" ht="16.5">
      <c r="A12" s="43"/>
      <c r="B12" s="44"/>
      <c r="C12" s="44"/>
    </row>
    <row r="13" spans="1:3" ht="16.5">
      <c r="A13" s="43"/>
      <c r="B13" s="44"/>
      <c r="C13" s="44"/>
    </row>
    <row r="14" spans="1:3" ht="17.25" thickBot="1">
      <c r="A14" s="43"/>
      <c r="B14" s="44"/>
      <c r="C14" s="44"/>
    </row>
    <row r="15" spans="1:3" s="42" customFormat="1" ht="30" customHeight="1">
      <c r="A15" s="156" t="s">
        <v>47</v>
      </c>
      <c r="B15" s="133"/>
      <c r="C15" s="134"/>
    </row>
    <row r="16" spans="1:3" s="42" customFormat="1" ht="30" customHeight="1" thickBot="1">
      <c r="A16" s="138"/>
      <c r="B16" s="139"/>
      <c r="C16" s="140"/>
    </row>
    <row r="17" spans="1:3" ht="30" customHeight="1">
      <c r="A17" s="100" t="s">
        <v>48</v>
      </c>
      <c r="B17" s="133"/>
      <c r="C17" s="134"/>
    </row>
    <row r="18" spans="1:3" ht="30" customHeight="1" thickBot="1">
      <c r="A18" s="138"/>
      <c r="B18" s="139"/>
      <c r="C18" s="140"/>
    </row>
    <row r="19" spans="1:3">
      <c r="A19" s="100" t="str">
        <f>"虛無假說："&amp;$B$5&amp;" 與 "&amp;$C$5&amp;" 的變異數相同"
&amp;CHAR(10)&amp;"對立假說："&amp;$B$5&amp;" 與 "&amp;$C$5&amp;" 的變異數不同"</f>
        <v>虛無假說：A 與 B 的變異數相同
對立假說：A 與 B 的變異數不同</v>
      </c>
      <c r="B19" s="133"/>
      <c r="C19" s="134"/>
    </row>
    <row r="20" spans="1:3">
      <c r="A20" s="135"/>
      <c r="B20" s="136"/>
      <c r="C20" s="137"/>
    </row>
    <row r="21" spans="1:3" ht="15.75" customHeight="1">
      <c r="A21" s="135"/>
      <c r="B21" s="136"/>
      <c r="C21" s="137"/>
    </row>
    <row r="22" spans="1:3" ht="15.75" customHeight="1" thickBot="1">
      <c r="A22" s="138"/>
      <c r="B22" s="139"/>
      <c r="C22" s="140"/>
    </row>
    <row r="23" spans="1:3" ht="30" customHeight="1" thickBot="1">
      <c r="A23" s="36" t="s">
        <v>49</v>
      </c>
      <c r="B23" s="121">
        <f>$B$7^2/$C$7^2</f>
        <v>1.058004605729929</v>
      </c>
      <c r="C23" s="122"/>
    </row>
    <row r="24" spans="1:3" ht="30" customHeight="1" thickBot="1">
      <c r="A24" s="45" t="s">
        <v>50</v>
      </c>
      <c r="B24" s="125">
        <f>IF(2*MIN(FDIST($B$23,$B$8-1,$C$8-1),FDIST(1/$B$23,$C$8-1,$B$8-1))&lt;0.0001,"&lt;0.0001",2*MIN(FDIST($B$23,$B$8-1,$C$8-1),FDIST(1/$B$23,$C$8-1,$B$8-1)))</f>
        <v>0.92108346918295891</v>
      </c>
      <c r="C24" s="126"/>
    </row>
    <row r="25" spans="1:3">
      <c r="A25" s="153" t="str">
        <f>IF(2*MIN(FDIST($B$23,$B$8-1,$C$8-1),FDIST(1/$B$23,$C$8-1,$B$8-1))&gt;$B$9,CONCATENATE("P-value &gt; ",$B$9," , 未達統計顯著, 無法拒絕虛無假設, 所以變異數相同, 請接續 t-test 報表 1 (變異數相同)"),CONCATENATE("P-value &lt; ",$B$9," , 達統計顯著, 拒絕虛無假設, 所以變異數不同, 請接續 t-test 報表 2 (變異數不同)"))</f>
        <v>P-value &gt; 0.05 , 未達統計顯著, 無法拒絕虛無假設, 所以變異數相同, 請接續 t-test 報表 1 (變異數相同)</v>
      </c>
      <c r="B25" s="154"/>
      <c r="C25" s="155"/>
    </row>
    <row r="26" spans="1:3" ht="16.5" thickBot="1">
      <c r="A26" s="118"/>
      <c r="B26" s="119"/>
      <c r="C26" s="120"/>
    </row>
    <row r="27" spans="1:3" ht="16.5">
      <c r="A27" s="42"/>
      <c r="B27" s="21"/>
    </row>
    <row r="28" spans="1:3" ht="16.5">
      <c r="A28" s="42"/>
      <c r="B28" s="21"/>
    </row>
    <row r="29" spans="1:3" ht="17.25" customHeight="1">
      <c r="A29" s="42"/>
      <c r="B29" s="21"/>
    </row>
    <row r="30" spans="1:3" ht="17.25" customHeight="1" thickBot="1">
      <c r="A30" s="43"/>
      <c r="B30" s="46"/>
      <c r="C30" s="47"/>
    </row>
    <row r="31" spans="1:3" ht="30" customHeight="1">
      <c r="A31" s="91" t="s">
        <v>51</v>
      </c>
      <c r="B31" s="133"/>
      <c r="C31" s="134"/>
    </row>
    <row r="32" spans="1:3" ht="30" customHeight="1" thickBot="1">
      <c r="A32" s="138"/>
      <c r="B32" s="139"/>
      <c r="C32" s="140"/>
    </row>
    <row r="33" spans="1:3" ht="30" customHeight="1" thickBot="1">
      <c r="A33" s="37" t="s">
        <v>52</v>
      </c>
      <c r="B33" s="113">
        <f>ABS($B$6-$C$6)/SQRT(((($B$8-1)*$B$7^2+($C$8-1)*$C$7^2)/($B$8+$C$8-2))*((1/$B$8)+(1/$C$8)))</f>
        <v>1.9322259156194961</v>
      </c>
      <c r="C33" s="114"/>
    </row>
    <row r="34" spans="1:3" ht="17.25" customHeight="1">
      <c r="A34" s="91" t="str">
        <f>CONCATENATE("1-1. 單尾檢定：想確認 ",$B$5," 與 ",$C$5," 的大小關係請看這裡")</f>
        <v>1-1. 單尾檢定：想確認 A 與 B 的大小關係請看這裡</v>
      </c>
      <c r="B34" s="92"/>
      <c r="C34" s="93"/>
    </row>
    <row r="35" spans="1:3" ht="17.25" customHeight="1">
      <c r="A35" s="127"/>
      <c r="B35" s="128"/>
      <c r="C35" s="129"/>
    </row>
    <row r="36" spans="1:3" ht="17.25" customHeight="1" thickBot="1">
      <c r="A36" s="94"/>
      <c r="B36" s="95"/>
      <c r="C36" s="96"/>
    </row>
    <row r="37" spans="1:3">
      <c r="A37" s="100" t="str">
        <f>"虛無假說："&amp;$B$5&amp;" 的平均值小於或等於 "&amp;$C$5&amp;" 的平均值"
&amp;CHAR(10)&amp;"對立假說："&amp;$B$5&amp;" 的平均值大於 "&amp;$C$5&amp;" 的平均值"</f>
        <v>虛無假說：A 的平均值小於或等於 B 的平均值
對立假說：A 的平均值大於 B 的平均值</v>
      </c>
      <c r="B37" s="101"/>
      <c r="C37" s="102"/>
    </row>
    <row r="38" spans="1:3">
      <c r="A38" s="103"/>
      <c r="B38" s="104"/>
      <c r="C38" s="105"/>
    </row>
    <row r="39" spans="1:3" ht="15.75" customHeight="1">
      <c r="A39" s="103"/>
      <c r="B39" s="104"/>
      <c r="C39" s="105"/>
    </row>
    <row r="40" spans="1:3" ht="16.5" thickBot="1">
      <c r="A40" s="130"/>
      <c r="B40" s="131"/>
      <c r="C40" s="132"/>
    </row>
    <row r="41" spans="1:3" ht="30" customHeight="1" thickBot="1">
      <c r="A41" s="48" t="s">
        <v>53</v>
      </c>
      <c r="B41" s="125">
        <f>IF(TDIST($B$33,$B$8+$C$8-2,1)&lt;0.0001,"&lt;0.0001",TDIST($B$33,$B$8+$C$8-2,1))</f>
        <v>3.3467067850908146E-2</v>
      </c>
      <c r="C41" s="126"/>
    </row>
    <row r="42" spans="1:3" ht="30" customHeight="1" thickBot="1">
      <c r="A42" s="49" t="str">
        <f>100*(1-$B$10)&amp;"%信賴區間下界"</f>
        <v>95%信賴區間下界</v>
      </c>
      <c r="B42" s="111">
        <f>($B$6-$C$6)-TINV(2*$B$10,$B$8+$C$8-2)*SQRT(((($B$8-1)*$B$7^2+($C$8-1)*$C$7^2)/($B$8+$C$8-2))*((1/$B$8)+(1/$C$8)))</f>
        <v>11.579860247459408</v>
      </c>
      <c r="C42" s="112"/>
    </row>
    <row r="43" spans="1:3">
      <c r="A43" s="115" t="str">
        <f>IF(TDIST($B$33,$B$8+$C$8-2,1)&gt;$B$10,CONCATENATE("P-value &gt; ",$B$10," , ",100*(1-$B$10),"%信賴區間下界小於 0 , 未達統計顯著, 無法拒絕虛無假設, 所以 ",$B$5," 的平均值小於或等於 ",$C$5," 的平均值"),CONCATENATE("P-value &lt; ",$B$10," , ",100*(1-$B$10),"%信賴區間下界大於 0 , 達統計顯著, 拒絕虛無假設, 所以 ",$B$5," 的平均值大於 ",$C$5," 的平均值"))</f>
        <v>P-value &lt; 0.05 , 95%信賴區間下界大於 0 , 達統計顯著, 拒絕虛無假設, 所以 A 的平均值大於 B 的平均值</v>
      </c>
      <c r="B43" s="116"/>
      <c r="C43" s="117"/>
    </row>
    <row r="44" spans="1:3" ht="16.5" customHeight="1" thickBot="1">
      <c r="A44" s="118"/>
      <c r="B44" s="119"/>
      <c r="C44" s="120"/>
    </row>
    <row r="45" spans="1:3" ht="30" customHeight="1" thickBot="1">
      <c r="A45" s="36"/>
      <c r="B45" s="50"/>
      <c r="C45" s="51"/>
    </row>
    <row r="46" spans="1:3">
      <c r="A46" s="127" t="str">
        <f>CONCATENATE("1-2. 雙尾檢定：想確認 ",$B$5," 與 ",$C$5," 是否不同請看這裡")</f>
        <v>1-2. 雙尾檢定：想確認 A 與 B 是否不同請看這裡</v>
      </c>
      <c r="B46" s="128"/>
      <c r="C46" s="129"/>
    </row>
    <row r="47" spans="1:3">
      <c r="A47" s="127"/>
      <c r="B47" s="128"/>
      <c r="C47" s="129"/>
    </row>
    <row r="48" spans="1:3" ht="16.5" thickBot="1">
      <c r="A48" s="94"/>
      <c r="B48" s="95"/>
      <c r="C48" s="96"/>
    </row>
    <row r="49" spans="1:3" ht="15" customHeight="1">
      <c r="A49" s="100" t="str">
        <f>"虛無假說："&amp;$B$5&amp;" 與 "&amp;$C$5&amp;" 的平均值相同"
&amp;CHAR(10)&amp;"對立假說："&amp;$B$5&amp;" 與 "&amp;$C$5&amp;" 的平均值不同"</f>
        <v>虛無假說：A 與 B 的平均值相同
對立假說：A 與 B 的平均值不同</v>
      </c>
      <c r="B49" s="133"/>
      <c r="C49" s="134"/>
    </row>
    <row r="50" spans="1:3" ht="15" customHeight="1">
      <c r="A50" s="135"/>
      <c r="B50" s="136"/>
      <c r="C50" s="137"/>
    </row>
    <row r="51" spans="1:3" ht="15.75" customHeight="1">
      <c r="A51" s="135"/>
      <c r="B51" s="136"/>
      <c r="C51" s="137"/>
    </row>
    <row r="52" spans="1:3" ht="15.75" customHeight="1" thickBot="1">
      <c r="A52" s="138"/>
      <c r="B52" s="139"/>
      <c r="C52" s="140"/>
    </row>
    <row r="53" spans="1:3" ht="30" customHeight="1" thickBot="1">
      <c r="A53" s="45" t="s">
        <v>53</v>
      </c>
      <c r="B53" s="111">
        <f>IF(TDIST($B$33,$B$8+$C$8-2,2)&lt;0.0001,"&lt;0.0001",TDIST($B$33,$B$8+$C$8-2,2))</f>
        <v>6.6934135701816291E-2</v>
      </c>
      <c r="C53" s="112"/>
    </row>
    <row r="54" spans="1:3" ht="30" customHeight="1" thickBot="1">
      <c r="A54" s="45" t="str">
        <f>100*(1-$B$10)&amp;"%信賴區間"</f>
        <v>95%信賴區間</v>
      </c>
      <c r="B54" s="34">
        <f>($B$6-$C$6)+TINV($B$10,$B$8+$C$8-2)*SQRT(((($B$8-1)*$B$7^2+($C$8-1)*$C$7^2)/($B$8+$C$8-2))*((1/$B$8)+(1/$C$8)))</f>
        <v>219.67029962943536</v>
      </c>
      <c r="C54" s="39">
        <f>($B$6-$C$6)-TINV($B$10,$B$8+$C$8-2)*SQRT(((($B$8-1)*$B$7^2+($C$8-1)*$C$7^2)/($B$8+$C$8-2))*((1/$B$8)+(1/$C$8)))</f>
        <v>-8.0702996294353255</v>
      </c>
    </row>
    <row r="55" spans="1:3" ht="15" customHeight="1">
      <c r="A55" s="115" t="str">
        <f>IF(TDIST($B$33,$B$8+$C$8-2,2)&gt;$B$10,CONCATENATE("P-value &gt; ",$B$10," , ",100*(1-$B$10),"%信賴區間包含 0 , 未達統計顯著, 無法拒絕虛無假設, 所以 ",$B$5," 與 ",$C$5," 平均值相同"),CONCATENATE("P-value &lt; ",$B$10," , ",100*(1-$B$10),"%信賴區間不包含 0 , 達統計顯著, 拒絕虛無假設, 所以 ",$B$5," 與 ",$C$5," 的平均值不同"))</f>
        <v>P-value &gt; 0.05 , 95%信賴區間包含 0 , 未達統計顯著, 無法拒絕虛無假設, 所以 A 與 B 平均值相同</v>
      </c>
      <c r="B55" s="116"/>
      <c r="C55" s="117"/>
    </row>
    <row r="56" spans="1:3" ht="15.75" customHeight="1" thickBot="1">
      <c r="A56" s="118"/>
      <c r="B56" s="119"/>
      <c r="C56" s="120"/>
    </row>
    <row r="60" spans="1:3" ht="16.5" thickBot="1"/>
    <row r="61" spans="1:3" ht="30" customHeight="1">
      <c r="A61" s="141" t="s">
        <v>54</v>
      </c>
      <c r="B61" s="142"/>
      <c r="C61" s="143"/>
    </row>
    <row r="62" spans="1:3" ht="30" customHeight="1" thickBot="1">
      <c r="A62" s="144"/>
      <c r="B62" s="145"/>
      <c r="C62" s="146"/>
    </row>
    <row r="63" spans="1:3" ht="30" customHeight="1" thickBot="1">
      <c r="A63" s="36" t="s">
        <v>55</v>
      </c>
      <c r="B63" s="113">
        <f>(($B$7^2/$B$8)+($C$7^2/$C$8))^2/(((($B$7^2)/$B$8)^2/($B$8-1))+((($C$7^2)/$C$8)^2/($C$8-1)))</f>
        <v>20.705166461208375</v>
      </c>
      <c r="C63" s="114"/>
    </row>
    <row r="64" spans="1:3" ht="30" customHeight="1" thickBot="1">
      <c r="A64" s="36" t="s">
        <v>52</v>
      </c>
      <c r="B64" s="113">
        <f>ABS($B$6-$C$6)/SQRT(($B$7^2/$B$8)+($C$7^2/$C$8))</f>
        <v>1.929746802092335</v>
      </c>
      <c r="C64" s="114"/>
    </row>
    <row r="65" spans="1:3" ht="17.25" customHeight="1">
      <c r="A65" s="91" t="str">
        <f>"2-1. 單尾檢定：想確認 "&amp;$B$5&amp;" 與 "&amp;$C$5&amp;" 的大小關係請看這裡"</f>
        <v>2-1. 單尾檢定：想確認 A 與 B 的大小關係請看這裡</v>
      </c>
      <c r="B65" s="92"/>
      <c r="C65" s="93"/>
    </row>
    <row r="66" spans="1:3">
      <c r="A66" s="127"/>
      <c r="B66" s="128"/>
      <c r="C66" s="129"/>
    </row>
    <row r="67" spans="1:3" ht="16.5" thickBot="1">
      <c r="A67" s="94"/>
      <c r="B67" s="95"/>
      <c r="C67" s="96"/>
    </row>
    <row r="68" spans="1:3" ht="15.75" customHeight="1">
      <c r="A68" s="100" t="str">
        <f>"虛無假說："&amp;$B$5&amp;" 的平均值小於或等於 "&amp;$C$5&amp;" 的平均值"
&amp;CHAR(10)&amp;"對立假說："&amp;$B$5&amp;" 的平均值大於 "&amp;$C$5&amp;" 的平均值"</f>
        <v>虛無假說：A 的平均值小於或等於 B 的平均值
對立假說：A 的平均值大於 B 的平均值</v>
      </c>
      <c r="B68" s="101"/>
      <c r="C68" s="102"/>
    </row>
    <row r="69" spans="1:3" ht="15.75" customHeight="1">
      <c r="A69" s="103"/>
      <c r="B69" s="104"/>
      <c r="C69" s="105"/>
    </row>
    <row r="70" spans="1:3" ht="15.75" customHeight="1">
      <c r="A70" s="103"/>
      <c r="B70" s="104"/>
      <c r="C70" s="105"/>
    </row>
    <row r="71" spans="1:3" ht="15.75" customHeight="1" thickBot="1">
      <c r="A71" s="130"/>
      <c r="B71" s="131"/>
      <c r="C71" s="132"/>
    </row>
    <row r="72" spans="1:3" ht="30" customHeight="1" thickBot="1">
      <c r="A72" s="45" t="s">
        <v>53</v>
      </c>
      <c r="B72" s="111">
        <f>IF(TDIST($B$33,(($B$7^2/$B$8)+($C$7^2/$C$8))^2/(((($B$7^2)/$B$8)^2/($B$8-1))+((($C$7^2)/$C$8)^2/($C$8-1))),1)&lt;0.0001,"&lt;0.0001",TDIST($B$33,(($B$7^2/$B$8)+($C$7^2/$C$8))^2/(((($B$7^2)/$B$8)^2/($B$8-1))+((($C$7^2)/$C$8)^2/($C$8-1))),1))</f>
        <v>3.3810605749761823E-2</v>
      </c>
      <c r="C72" s="112"/>
    </row>
    <row r="73" spans="1:3" ht="30" customHeight="1" thickBot="1">
      <c r="A73" s="49" t="str">
        <f>100*(1-$B$10)&amp;"%信賴區間下界"</f>
        <v>95%信賴區間下界</v>
      </c>
      <c r="B73" s="111">
        <f>($B$6-$C$6)-TINV(2*$B$10,$B$63)*SQRT(((($B$8-1)*$B$7^2+($C$8-1)*$C$7^2)/($B$8+$C$8-2))*((1/$B$8)+(1/$C$8)))</f>
        <v>11.362188141692528</v>
      </c>
      <c r="C73" s="112"/>
    </row>
    <row r="74" spans="1:3" ht="15" customHeight="1">
      <c r="A74" s="115" t="str">
        <f>IF(TDIST($B$33,(($B$7^2/$B$8)+($C$7^2/$C$8))^2/(((($B$7^2)/$B$8)^2/($B$8-1))+((($C$7^2)/$C$8)^2/($C$8-1))),1)&gt;$B$10,CONCATENATE("P-value &gt; ",$B$10," , ",100*(1-$B$10),"%信賴區間下界小於 0 , 未達統計顯著, 無法拒絕虛無假設, 所以 ",$B$5," 的平均值小於或等於 ",$C$5," 的平均值"),CONCATENATE("P-value &lt; ",$B$10," , ",100*(1-$B$10),"%信賴區間下界大於 0 , 達統計顯著, 拒絕虛無假設, 所以 ",$B$5," 的平均值大於 ",$C$5," 的平均值"))</f>
        <v>P-value &lt; 0.05 , 95%信賴區間下界大於 0 , 達統計顯著, 拒絕虛無假設, 所以 A 的平均值大於 B 的平均值</v>
      </c>
      <c r="B74" s="116"/>
      <c r="C74" s="117"/>
    </row>
    <row r="75" spans="1:3" ht="16.5" customHeight="1" thickBot="1">
      <c r="A75" s="118"/>
      <c r="B75" s="119"/>
      <c r="C75" s="120"/>
    </row>
    <row r="76" spans="1:3" ht="30" customHeight="1" thickBot="1">
      <c r="A76" s="36"/>
      <c r="B76" s="50"/>
      <c r="C76" s="51"/>
    </row>
    <row r="77" spans="1:3">
      <c r="A77" s="127" t="str">
        <f>CONCATENATE("2-2. 雙尾檢定：想確認 ",$B$5," 與 ",$C$5," 是否不同請看這裡")</f>
        <v>2-2. 雙尾檢定：想確認 A 與 B 是否不同請看這裡</v>
      </c>
      <c r="B77" s="128"/>
      <c r="C77" s="129"/>
    </row>
    <row r="78" spans="1:3">
      <c r="A78" s="127"/>
      <c r="B78" s="128"/>
      <c r="C78" s="129"/>
    </row>
    <row r="79" spans="1:3" ht="16.5" thickBot="1">
      <c r="A79" s="94"/>
      <c r="B79" s="95"/>
      <c r="C79" s="96"/>
    </row>
    <row r="80" spans="1:3" ht="15" customHeight="1">
      <c r="A80" s="100" t="str">
        <f>"虛無假說："&amp;$B$5&amp;" 與 "&amp;$C$5&amp;" 的平均值相同"
&amp;CHAR(10)&amp;"對立假說："&amp;$B$5&amp;" 與 "&amp;$C$5&amp;" 的平均值不同"</f>
        <v>虛無假說：A 與 B 的平均值相同
對立假說：A 與 B 的平均值不同</v>
      </c>
      <c r="B80" s="133"/>
      <c r="C80" s="134"/>
    </row>
    <row r="81" spans="1:3" ht="15" customHeight="1">
      <c r="A81" s="135"/>
      <c r="B81" s="136"/>
      <c r="C81" s="137"/>
    </row>
    <row r="82" spans="1:3" ht="15.75" customHeight="1">
      <c r="A82" s="135"/>
      <c r="B82" s="136"/>
      <c r="C82" s="137"/>
    </row>
    <row r="83" spans="1:3" ht="15.75" customHeight="1" thickBot="1">
      <c r="A83" s="138"/>
      <c r="B83" s="139"/>
      <c r="C83" s="140"/>
    </row>
    <row r="84" spans="1:3" ht="30" customHeight="1" thickBot="1">
      <c r="A84" s="45" t="s">
        <v>53</v>
      </c>
      <c r="B84" s="111">
        <f>IF(TDIST($B$33,(($B$7^2/$B$8)+($C$7^2/$C$8))^2/(((($B$7^2)/$B$8)^2/($B$8-1))+((($C$7^2)/$C$8)^2/($C$8-1))),2)&lt;0.0001,"&lt;0.0001",TDIST($B$33,(($B$7^2/$B$8)+($C$7^2/$C$8))^2/(((($B$7^2)/$B$8)^2/($B$8-1))+((($C$7^2)/$C$8)^2/($C$8-1))),2))</f>
        <v>6.7621211499523645E-2</v>
      </c>
      <c r="C84" s="112"/>
    </row>
    <row r="85" spans="1:3" ht="30" customHeight="1" thickBot="1">
      <c r="A85" s="45" t="str">
        <f>100*(1-$B$10)&amp;"%信賴區間"</f>
        <v>95%信賴區間</v>
      </c>
      <c r="B85" s="34">
        <f>($B$6-$C$6)+TINV($B$10,$B$63)*SQRT(((($B$8-1)*$B$7^2+($C$8-1)*$C$7^2)/($B$8+$C$8-2))*((1/$B$8)+(1/$C$8)))</f>
        <v>220.0179753956518</v>
      </c>
      <c r="C85" s="39">
        <f>($B$6-$C$6)-TINV($B$10,$B$63)*SQRT(((($B$8-1)*$B$7^2+($C$8-1)*$C$7^2)/($B$8+$C$8-2))*((1/$B$8)+(1/$C$8)))</f>
        <v>-8.41797539565178</v>
      </c>
    </row>
    <row r="86" spans="1:3" ht="15" customHeight="1">
      <c r="A86" s="115" t="str">
        <f>IF(TDIST($B$33,(($B$7^2/$B$8)+($C$7^2/$C$8))^2/(((($B$7^2)/$B$8)^2/($B$8-1))+((($C$7^2)/$C$8)^2/($C$8-1))),2)&gt;$B$10,CONCATENATE("P-value &gt; ",$B$10," , ",100*(1-$B$10),"%信賴區間包含 0 , 未達統計顯著, 無法拒絕虛無假設, 所以 ",$B$5," 與 ",$C$5," 平均值相同"),CONCATENATE("P-value &lt; ",$B$10," , ",100*(1-$B$10),"%信賴區間不包含 0 , 達統計顯著, 拒絕虛無假設, 所以 ",$B$5," 與 ",$C$5," 的平均值不同"))</f>
        <v>P-value &gt; 0.05 , 95%信賴區間包含 0 , 未達統計顯著, 無法拒絕虛無假設, 所以 A 與 B 平均值相同</v>
      </c>
      <c r="B86" s="116"/>
      <c r="C86" s="117"/>
    </row>
    <row r="87" spans="1:3" ht="15.75" customHeight="1" thickBot="1">
      <c r="A87" s="118"/>
      <c r="B87" s="119"/>
      <c r="C87" s="120"/>
    </row>
    <row r="88" spans="1:3" ht="16.5">
      <c r="A88" s="42"/>
      <c r="B88" s="52"/>
    </row>
    <row r="89" spans="1:3" ht="16.5">
      <c r="A89" s="42"/>
      <c r="B89" s="52"/>
    </row>
    <row r="90" spans="1:3" ht="16.5">
      <c r="A90" s="42"/>
      <c r="B90" s="52"/>
    </row>
    <row r="91" spans="1:3" ht="16.5">
      <c r="A91" s="42"/>
      <c r="B91" s="52"/>
    </row>
    <row r="92" spans="1:3" ht="16.5">
      <c r="A92" s="42"/>
      <c r="B92" s="21"/>
    </row>
  </sheetData>
  <sheetProtection sheet="1" objects="1" scenarios="1"/>
  <protectedRanges>
    <protectedRange sqref="B5:C10" name="範圍1"/>
  </protectedRanges>
  <mergeCells count="32">
    <mergeCell ref="A1:C4"/>
    <mergeCell ref="A17:C18"/>
    <mergeCell ref="A25:C26"/>
    <mergeCell ref="A19:C22"/>
    <mergeCell ref="A46:C48"/>
    <mergeCell ref="A15:C16"/>
    <mergeCell ref="A43:C44"/>
    <mergeCell ref="A34:C36"/>
    <mergeCell ref="B10:C10"/>
    <mergeCell ref="A86:C87"/>
    <mergeCell ref="B23:C23"/>
    <mergeCell ref="B9:C9"/>
    <mergeCell ref="B24:C24"/>
    <mergeCell ref="B33:C33"/>
    <mergeCell ref="B41:C41"/>
    <mergeCell ref="A65:C67"/>
    <mergeCell ref="A77:C79"/>
    <mergeCell ref="A68:C71"/>
    <mergeCell ref="A74:C75"/>
    <mergeCell ref="A80:C83"/>
    <mergeCell ref="A37:C40"/>
    <mergeCell ref="A49:C52"/>
    <mergeCell ref="A55:C56"/>
    <mergeCell ref="A61:C62"/>
    <mergeCell ref="A31:C32"/>
    <mergeCell ref="B53:C53"/>
    <mergeCell ref="B42:C42"/>
    <mergeCell ref="B63:C63"/>
    <mergeCell ref="B64:C64"/>
    <mergeCell ref="B84:C84"/>
    <mergeCell ref="B73:C73"/>
    <mergeCell ref="B72:C7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0"/>
  <sheetViews>
    <sheetView tabSelected="1" topLeftCell="A13" workbookViewId="0">
      <selection activeCell="B25" sqref="B25:C25"/>
    </sheetView>
  </sheetViews>
  <sheetFormatPr defaultRowHeight="15.75"/>
  <cols>
    <col min="1" max="3" width="39.875" style="13" customWidth="1"/>
    <col min="4" max="16384" width="9" style="13"/>
  </cols>
  <sheetData>
    <row r="1" spans="1:3">
      <c r="A1" s="147" t="s">
        <v>59</v>
      </c>
      <c r="B1" s="148"/>
      <c r="C1" s="149"/>
    </row>
    <row r="2" spans="1:3">
      <c r="A2" s="150"/>
      <c r="B2" s="151"/>
      <c r="C2" s="152"/>
    </row>
    <row r="3" spans="1:3">
      <c r="A3" s="150"/>
      <c r="B3" s="151"/>
      <c r="C3" s="152"/>
    </row>
    <row r="4" spans="1:3" ht="16.5" thickBot="1">
      <c r="A4" s="163"/>
      <c r="B4" s="164"/>
      <c r="C4" s="165"/>
    </row>
    <row r="5" spans="1:3" s="16" customFormat="1" ht="30" customHeight="1">
      <c r="A5" s="1" t="s">
        <v>18</v>
      </c>
      <c r="B5" s="14" t="s">
        <v>19</v>
      </c>
      <c r="C5" s="15" t="s">
        <v>20</v>
      </c>
    </row>
    <row r="6" spans="1:3" ht="30" customHeight="1">
      <c r="A6" s="1" t="s">
        <v>21</v>
      </c>
      <c r="B6" s="17">
        <v>0.8</v>
      </c>
      <c r="C6" s="18">
        <v>0.6</v>
      </c>
    </row>
    <row r="7" spans="1:3" ht="30" customHeight="1" thickBot="1">
      <c r="A7" s="56" t="s">
        <v>2</v>
      </c>
      <c r="B7" s="64">
        <v>400</v>
      </c>
      <c r="C7" s="65">
        <v>100</v>
      </c>
    </row>
    <row r="8" spans="1:3" s="16" customFormat="1" ht="30" customHeight="1" thickBot="1">
      <c r="A8" s="66" t="s">
        <v>56</v>
      </c>
      <c r="B8" s="161">
        <v>0.05</v>
      </c>
      <c r="C8" s="162"/>
    </row>
    <row r="9" spans="1:3" ht="16.5">
      <c r="A9" s="19"/>
      <c r="B9" s="20"/>
      <c r="C9" s="20"/>
    </row>
    <row r="10" spans="1:3" ht="16.5">
      <c r="A10" s="19"/>
      <c r="B10" s="20"/>
      <c r="C10" s="20"/>
    </row>
    <row r="11" spans="1:3" ht="16.5">
      <c r="A11" s="19"/>
      <c r="B11" s="20"/>
      <c r="C11" s="20"/>
    </row>
    <row r="12" spans="1:3" ht="17.25" thickBot="1">
      <c r="A12" s="19"/>
      <c r="B12" s="20"/>
      <c r="C12" s="20"/>
    </row>
    <row r="13" spans="1:3" s="21" customFormat="1" ht="30" customHeight="1">
      <c r="A13" s="141" t="s">
        <v>57</v>
      </c>
      <c r="B13" s="142"/>
      <c r="C13" s="143"/>
    </row>
    <row r="14" spans="1:3" s="21" customFormat="1" ht="30" customHeight="1" thickBot="1">
      <c r="A14" s="144"/>
      <c r="B14" s="145"/>
      <c r="C14" s="146"/>
    </row>
    <row r="15" spans="1:3" ht="30" customHeight="1" thickBot="1">
      <c r="A15" s="3" t="s">
        <v>22</v>
      </c>
      <c r="B15" s="166">
        <f>($B$6*$B$7+$C$6*$C$7)/($B$7+$C$7)</f>
        <v>0.76</v>
      </c>
      <c r="C15" s="167"/>
    </row>
    <row r="16" spans="1:3" ht="30" customHeight="1" thickBot="1">
      <c r="A16" s="3" t="s">
        <v>23</v>
      </c>
      <c r="B16" s="168">
        <f>$B$15*(1-$B$15)*(1/$B$7+1/$C$7)</f>
        <v>2.2800000000000003E-3</v>
      </c>
      <c r="C16" s="169"/>
    </row>
    <row r="17" spans="1:3" ht="30" customHeight="1" thickBot="1">
      <c r="A17" s="3" t="s">
        <v>24</v>
      </c>
      <c r="B17" s="159">
        <f>ABS(($B$6-$C$6)/SQRT($B$16))</f>
        <v>4.1885390829169564</v>
      </c>
      <c r="C17" s="160"/>
    </row>
    <row r="18" spans="1:3" s="21" customFormat="1" ht="17.25" customHeight="1">
      <c r="A18" s="91" t="str">
        <f>"1. 單尾檢定：想確認 "&amp;$B$5&amp;" 與 "&amp;$C$5&amp;" 的大小關係請看這裡"</f>
        <v>1. 單尾檢定：想確認 A 與 B 的大小關係請看這裡</v>
      </c>
      <c r="B18" s="92"/>
      <c r="C18" s="93"/>
    </row>
    <row r="19" spans="1:3" s="21" customFormat="1" ht="17.25" customHeight="1">
      <c r="A19" s="127"/>
      <c r="B19" s="128"/>
      <c r="C19" s="129"/>
    </row>
    <row r="20" spans="1:3" s="21" customFormat="1" ht="17.25" customHeight="1" thickBot="1">
      <c r="A20" s="94"/>
      <c r="B20" s="95"/>
      <c r="C20" s="96"/>
    </row>
    <row r="21" spans="1:3" s="16" customFormat="1">
      <c r="A21" s="100" t="str">
        <f>"虛無假說："&amp;$B$5&amp;" 的比例值小於或等於 "&amp;$C$5&amp;" 的比例值"
&amp;CHAR(10)&amp;"對立假說："&amp;$B$5&amp;" 的比例值大於 "&amp;$C$5&amp;" 的比例值"</f>
        <v>虛無假說：A 的比例值小於或等於 B 的比例值
對立假說：A 的比例值大於 B 的比例值</v>
      </c>
      <c r="B21" s="101"/>
      <c r="C21" s="102"/>
    </row>
    <row r="22" spans="1:3" s="16" customFormat="1">
      <c r="A22" s="103"/>
      <c r="B22" s="104"/>
      <c r="C22" s="105"/>
    </row>
    <row r="23" spans="1:3" s="16" customFormat="1" ht="15.75" customHeight="1">
      <c r="A23" s="103"/>
      <c r="B23" s="104"/>
      <c r="C23" s="105"/>
    </row>
    <row r="24" spans="1:3" s="16" customFormat="1" ht="16.5" thickBot="1">
      <c r="A24" s="130"/>
      <c r="B24" s="131"/>
      <c r="C24" s="132"/>
    </row>
    <row r="25" spans="1:3" ht="30" customHeight="1" thickBot="1">
      <c r="A25" s="4" t="s">
        <v>25</v>
      </c>
      <c r="B25" s="111" t="str">
        <f>IF(1-NORMSDIST($B$17)&lt;0.0001,"&lt;0.0001",1-NORMSDIST($B$17))</f>
        <v>&lt;0.0001</v>
      </c>
      <c r="C25" s="112"/>
    </row>
    <row r="26" spans="1:3" ht="30" customHeight="1" thickBot="1">
      <c r="A26" s="49" t="str">
        <f>100*(1-$B$8)&amp;"%信賴區間下界"</f>
        <v>95%信賴區間下界</v>
      </c>
      <c r="B26" s="111">
        <f>($B$6-$C$6)-NORMSINV(1-$B$8)*SQRT($B$6*(1-$B$6)/$B$7+$C$6*(1-$C$6)/$C$7)</f>
        <v>0.11296252719967596</v>
      </c>
      <c r="C26" s="112"/>
    </row>
    <row r="27" spans="1:3" s="16" customFormat="1">
      <c r="A27" s="115" t="str">
        <f>IF(1-NORMSDIST($B$17)&gt;$B$8,CONCATENATE("P-value &gt; ",$B$8," , ",100*(1-$B$8),"%信賴區間下界小於 0 , 未達統計顯著, 無法拒絕虛無假設, 所以 ",$B$5," 的比例值小於或等於 ",$C$5," 的比例值"),CONCATENATE("P-value &lt; ",$B$8," , ",100*(1-$B$8),"%信賴區間下界大於 0 , 達統計顯著, 拒絕虛無假設, 所以 ",$B$5," 的比例值大於 ",$C$5," 的比例值"))</f>
        <v>P-value &lt; 0.05 , 95%信賴區間下界大於 0 , 達統計顯著, 拒絕虛無假設, 所以 A 的比例值大於 B 的比例值</v>
      </c>
      <c r="B27" s="116"/>
      <c r="C27" s="117"/>
    </row>
    <row r="28" spans="1:3" s="16" customFormat="1" ht="16.5" customHeight="1" thickBot="1">
      <c r="A28" s="118"/>
      <c r="B28" s="119"/>
      <c r="C28" s="120"/>
    </row>
    <row r="29" spans="1:3" ht="30" customHeight="1" thickBot="1">
      <c r="A29" s="77"/>
      <c r="B29" s="78"/>
      <c r="C29" s="79"/>
    </row>
    <row r="30" spans="1:3" s="16" customFormat="1">
      <c r="A30" s="127" t="str">
        <f>CONCATENATE("2. 雙尾檢定：想確認 ",$B$5," 與 ",$C$5," 是否不同請看這裡")</f>
        <v>2. 雙尾檢定：想確認 A 與 B 是否不同請看這裡</v>
      </c>
      <c r="B30" s="128"/>
      <c r="C30" s="129"/>
    </row>
    <row r="31" spans="1:3" s="16" customFormat="1">
      <c r="A31" s="127"/>
      <c r="B31" s="128"/>
      <c r="C31" s="129"/>
    </row>
    <row r="32" spans="1:3" s="16" customFormat="1" ht="16.5" thickBot="1">
      <c r="A32" s="94"/>
      <c r="B32" s="95"/>
      <c r="C32" s="96"/>
    </row>
    <row r="33" spans="1:3" s="16" customFormat="1" ht="15" customHeight="1">
      <c r="A33" s="100" t="str">
        <f>"虛無假說："&amp;$B$5&amp;" 與 "&amp;$C$5&amp;" 的比例值相同"
&amp;CHAR(10)&amp;"對立假說："&amp;$B$5&amp;" 與 "&amp;$C$5&amp;" 的比例值不同"</f>
        <v>虛無假說：A 與 B 的比例值相同
對立假說：A 與 B 的比例值不同</v>
      </c>
      <c r="B33" s="133"/>
      <c r="C33" s="134"/>
    </row>
    <row r="34" spans="1:3" s="16" customFormat="1" ht="15" customHeight="1">
      <c r="A34" s="135"/>
      <c r="B34" s="136"/>
      <c r="C34" s="137"/>
    </row>
    <row r="35" spans="1:3" s="16" customFormat="1" ht="15.75" customHeight="1">
      <c r="A35" s="135"/>
      <c r="B35" s="136"/>
      <c r="C35" s="137"/>
    </row>
    <row r="36" spans="1:3" s="16" customFormat="1" ht="15.75" customHeight="1" thickBot="1">
      <c r="A36" s="138"/>
      <c r="B36" s="139"/>
      <c r="C36" s="140"/>
    </row>
    <row r="37" spans="1:3" ht="30" customHeight="1" thickBot="1">
      <c r="A37" s="4" t="s">
        <v>25</v>
      </c>
      <c r="B37" s="111" t="str">
        <f>IF(2*(1-NORMSDIST($B$17))&lt;0.0001,"&lt;0.0001",2*(1-NORMSDIST($B$17)))</f>
        <v>&lt;0.0001</v>
      </c>
      <c r="C37" s="112"/>
    </row>
    <row r="38" spans="1:3" ht="30" customHeight="1" thickBot="1">
      <c r="A38" s="49" t="str">
        <f>100*(1-$B$8)&amp;"%信賴區間"</f>
        <v>95%信賴區間</v>
      </c>
      <c r="B38" s="34">
        <f>($B$6-$C$6)-NORMSINV(1-$B$8/2)*SQRT($B$6*(1-$B$6)/$B$7+$C$6*(1-$C$6)/$C$7)</f>
        <v>9.6288454365275528E-2</v>
      </c>
      <c r="C38" s="35">
        <f>($B$6-$C$6)+NORMSINV(1-$B$8/2)*SQRT($B$6*(1-$B$6)/$B$7+$C$6*(1-$C$6)/$C$7)</f>
        <v>0.30371154563472458</v>
      </c>
    </row>
    <row r="39" spans="1:3" s="16" customFormat="1" ht="15" customHeight="1">
      <c r="A39" s="115" t="str">
        <f>IF(2*(1-NORMSDIST($B$17))&gt;$B$8,CONCATENATE("P-value &gt; ",$B$8," , ",100*(1-$B$8),"%信賴區間包含 0 , 未達統計顯著, 無法拒絕虛無假設, 所以 ",$B$5," 與 ",$C$5," 比例值相同"),CONCATENATE("P-value &lt; ",$B$8," , ",100*(1-$B$8),"%信賴區間不包含 0 , 達統計顯著, 拒絕虛無假設, 所以 ",$B$5," 與 ",$C$5," 的比例值不同"))</f>
        <v>P-value &lt; 0.05 , 95%信賴區間不包含 0 , 達統計顯著, 拒絕虛無假設, 所以 A 與 B 的比例值不同</v>
      </c>
      <c r="B39" s="116"/>
      <c r="C39" s="117"/>
    </row>
    <row r="40" spans="1:3" s="16" customFormat="1" ht="15.75" customHeight="1" thickBot="1">
      <c r="A40" s="118"/>
      <c r="B40" s="119"/>
      <c r="C40" s="120"/>
    </row>
  </sheetData>
  <sheetProtection sheet="1" objects="1" scenarios="1"/>
  <protectedRanges>
    <protectedRange sqref="B5:C8" name="範圍1"/>
  </protectedRanges>
  <mergeCells count="15">
    <mergeCell ref="B8:C8"/>
    <mergeCell ref="A1:C4"/>
    <mergeCell ref="A13:C14"/>
    <mergeCell ref="B15:C15"/>
    <mergeCell ref="B16:C16"/>
    <mergeCell ref="A21:C24"/>
    <mergeCell ref="B17:C17"/>
    <mergeCell ref="B25:C25"/>
    <mergeCell ref="A39:C40"/>
    <mergeCell ref="B26:C26"/>
    <mergeCell ref="A27:C28"/>
    <mergeCell ref="A30:C32"/>
    <mergeCell ref="A33:C36"/>
    <mergeCell ref="B37:C37"/>
    <mergeCell ref="A18:C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"/>
  <sheetViews>
    <sheetView topLeftCell="D10" workbookViewId="0">
      <selection activeCell="H19" sqref="H19"/>
    </sheetView>
  </sheetViews>
  <sheetFormatPr defaultRowHeight="30" customHeight="1"/>
  <cols>
    <col min="1" max="1" width="12.875" style="71" customWidth="1"/>
    <col min="2" max="3" width="12.875" style="70" customWidth="1"/>
    <col min="4" max="4" width="12.875" style="31" customWidth="1"/>
    <col min="5" max="11" width="18.625" style="6" customWidth="1"/>
    <col min="12" max="16384" width="9" style="6"/>
  </cols>
  <sheetData>
    <row r="1" spans="1:11" ht="30" customHeight="1">
      <c r="A1" s="136" t="s">
        <v>64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1" ht="30" customHeight="1">
      <c r="A2" s="136"/>
      <c r="B2" s="136"/>
      <c r="C2" s="136"/>
      <c r="D2" s="136"/>
      <c r="E2" s="136"/>
      <c r="F2" s="136"/>
      <c r="G2" s="136"/>
      <c r="H2" s="136"/>
      <c r="I2" s="136"/>
      <c r="J2" s="137"/>
    </row>
    <row r="3" spans="1:11" ht="30" customHeight="1" thickBot="1">
      <c r="A3" s="139"/>
      <c r="B3" s="139"/>
      <c r="C3" s="139"/>
      <c r="D3" s="139"/>
      <c r="E3" s="139"/>
      <c r="F3" s="139"/>
      <c r="G3" s="139"/>
      <c r="H3" s="139"/>
      <c r="I3" s="139"/>
      <c r="J3" s="140"/>
    </row>
    <row r="4" spans="1:11" ht="30" customHeight="1" thickBot="1">
      <c r="A4" s="74" t="s">
        <v>17</v>
      </c>
      <c r="B4" s="74" t="s">
        <v>0</v>
      </c>
      <c r="C4" s="74" t="s">
        <v>1</v>
      </c>
      <c r="D4" s="75" t="s">
        <v>2</v>
      </c>
      <c r="E4" s="5" t="s">
        <v>3</v>
      </c>
      <c r="F4" s="170">
        <f>SUMPRODUCT($B:$B,$D:$D)/SUM($D:$D)</f>
        <v>75.661904761904765</v>
      </c>
      <c r="G4" s="171"/>
      <c r="H4" s="57" t="s">
        <v>5</v>
      </c>
      <c r="I4" s="170">
        <f>SUMPRODUCT($D:$D,$B:$B,$B:$B)-2*(SUMPRODUCT($B:$B,$D:$D)/SUM($D:$D))*SUMPRODUCT($B:$B,$D:$D)+$F$4^2*SUM($D:$D)</f>
        <v>403.70857142860768</v>
      </c>
      <c r="J4" s="171"/>
    </row>
    <row r="5" spans="1:11" ht="30" customHeight="1" thickBot="1">
      <c r="A5" s="72" t="s">
        <v>60</v>
      </c>
      <c r="B5" s="73">
        <v>75</v>
      </c>
      <c r="C5" s="73">
        <v>8.16</v>
      </c>
      <c r="D5" s="76">
        <v>24</v>
      </c>
      <c r="E5" s="38" t="s">
        <v>4</v>
      </c>
      <c r="F5" s="172">
        <f>$I$4+$I$5</f>
        <v>4215.6370714286077</v>
      </c>
      <c r="G5" s="173"/>
      <c r="H5" s="58" t="s">
        <v>6</v>
      </c>
      <c r="I5" s="174">
        <f>SUMPRODUCT($C:$C,$C:$C,$D:$D)-SUMPRODUCT($C:$C,$C:$C)</f>
        <v>3811.9285</v>
      </c>
      <c r="J5" s="175"/>
    </row>
    <row r="6" spans="1:11" ht="30" customHeight="1">
      <c r="A6" s="71" t="s">
        <v>26</v>
      </c>
      <c r="B6" s="70">
        <v>79.3</v>
      </c>
      <c r="C6" s="70">
        <v>7.59</v>
      </c>
      <c r="D6" s="31">
        <v>19</v>
      </c>
      <c r="E6" s="103" t="s">
        <v>71</v>
      </c>
      <c r="F6" s="136"/>
      <c r="G6" s="136"/>
      <c r="H6" s="136"/>
      <c r="I6" s="136"/>
      <c r="J6" s="137"/>
    </row>
    <row r="7" spans="1:11" ht="30" customHeight="1">
      <c r="A7" s="71" t="s">
        <v>27</v>
      </c>
      <c r="B7" s="70">
        <v>73</v>
      </c>
      <c r="C7" s="70">
        <v>8.09</v>
      </c>
      <c r="D7" s="31">
        <v>20</v>
      </c>
      <c r="E7" s="135"/>
      <c r="F7" s="136"/>
      <c r="G7" s="136"/>
      <c r="H7" s="136"/>
      <c r="I7" s="136"/>
      <c r="J7" s="137"/>
    </row>
    <row r="8" spans="1:11" ht="30" customHeight="1">
      <c r="E8" s="135"/>
      <c r="F8" s="136"/>
      <c r="G8" s="136"/>
      <c r="H8" s="136"/>
      <c r="I8" s="136"/>
      <c r="J8" s="137"/>
    </row>
    <row r="9" spans="1:11" ht="30" customHeight="1" thickBot="1">
      <c r="E9" s="138"/>
      <c r="F9" s="139"/>
      <c r="G9" s="139"/>
      <c r="H9" s="139"/>
      <c r="I9" s="139"/>
      <c r="J9" s="140"/>
    </row>
    <row r="10" spans="1:11" ht="30" customHeight="1">
      <c r="E10" s="156" t="s">
        <v>7</v>
      </c>
      <c r="F10" s="133"/>
      <c r="G10" s="133"/>
      <c r="H10" s="133"/>
      <c r="I10" s="133"/>
      <c r="J10" s="133"/>
      <c r="K10" s="134"/>
    </row>
    <row r="11" spans="1:11" ht="30" customHeight="1" thickBot="1">
      <c r="E11" s="138"/>
      <c r="F11" s="139"/>
      <c r="G11" s="139"/>
      <c r="H11" s="139"/>
      <c r="I11" s="139"/>
      <c r="J11" s="139"/>
      <c r="K11" s="140"/>
    </row>
    <row r="12" spans="1:11" ht="30" customHeight="1">
      <c r="E12" s="67" t="s">
        <v>8</v>
      </c>
      <c r="F12" s="53" t="s">
        <v>9</v>
      </c>
      <c r="G12" s="53" t="s">
        <v>10</v>
      </c>
      <c r="H12" s="53" t="s">
        <v>11</v>
      </c>
      <c r="I12" s="53" t="s">
        <v>12</v>
      </c>
      <c r="J12" s="40" t="s">
        <v>42</v>
      </c>
      <c r="K12" s="8" t="s">
        <v>13</v>
      </c>
    </row>
    <row r="13" spans="1:11" ht="30" customHeight="1">
      <c r="E13" s="68" t="s">
        <v>14</v>
      </c>
      <c r="F13" s="9">
        <f>COUNT($D:$D)-1</f>
        <v>2</v>
      </c>
      <c r="G13" s="32">
        <f>SUMPRODUCT($D:$D,$B:$B,$B:$B)-2*(SUMPRODUCT($B:$B,$D:$D)/SUM($D:$D))*SUMPRODUCT($B:$B,$D:$D)+$F$4^2*SUM($D:$D)</f>
        <v>403.70857142860768</v>
      </c>
      <c r="H13" s="32">
        <f>$G$13/$F$13</f>
        <v>201.85428571430384</v>
      </c>
      <c r="I13" s="32">
        <f>$H$13/$H$14</f>
        <v>3.1771994524184359</v>
      </c>
      <c r="J13" s="41">
        <f>IF(FDIST($I$13,$F$13,$F$14)&lt;0.0001,"&lt;0.0001",FDIST($I$13,$F$13,$F$14))</f>
        <v>4.8802933978419769E-2</v>
      </c>
      <c r="K13" s="31">
        <v>0.05</v>
      </c>
    </row>
    <row r="14" spans="1:11" ht="30" customHeight="1">
      <c r="E14" s="68" t="s">
        <v>15</v>
      </c>
      <c r="F14" s="9">
        <f>$F$15-$F$13</f>
        <v>60</v>
      </c>
      <c r="G14" s="9">
        <f>SUMPRODUCT($C:$C,$C:$C,$D:$D)-SUMPRODUCT($C:$C,$C:$C)</f>
        <v>3811.9285</v>
      </c>
      <c r="H14" s="32">
        <f>$G$14/$F$14</f>
        <v>63.532141666666668</v>
      </c>
      <c r="I14" s="9"/>
      <c r="J14" s="9"/>
      <c r="K14" s="10"/>
    </row>
    <row r="15" spans="1:11" ht="30" customHeight="1" thickBot="1">
      <c r="E15" s="69" t="s">
        <v>16</v>
      </c>
      <c r="F15" s="11">
        <f>SUM($D:$D)-1</f>
        <v>62</v>
      </c>
      <c r="G15" s="33">
        <f>$I$4+$I$5</f>
        <v>4215.6370714286077</v>
      </c>
      <c r="H15" s="11"/>
      <c r="I15" s="11"/>
      <c r="J15" s="11"/>
      <c r="K15" s="12"/>
    </row>
    <row r="16" spans="1:11" ht="30" customHeight="1">
      <c r="E16" s="85" t="str">
        <f>IF(FDIST($I$13,$F$13,$F$14)&gt;$K$13,CONCATENATE("P-value &gt; ",$K$13," , 未達統計顯著, 無法拒絕虛無假設, 所以各組平均值相同"),CONCATENATE("P-value &lt; ",$K$13," , 達統計顯著, 拒絕虛無假設, 所以各組平均值不全相同, 至少其中有兩組之間平均值不相同"))</f>
        <v>P-value &lt; 0.05 , 達統計顯著, 拒絕虛無假設, 所以各組平均值不全相同, 至少其中有兩組之間平均值不相同</v>
      </c>
      <c r="F16" s="86"/>
      <c r="G16" s="86"/>
      <c r="H16" s="86"/>
      <c r="I16" s="86"/>
      <c r="J16" s="86"/>
      <c r="K16" s="87"/>
    </row>
    <row r="17" spans="5:11" ht="30" customHeight="1" thickBot="1">
      <c r="E17" s="88"/>
      <c r="F17" s="89"/>
      <c r="G17" s="89"/>
      <c r="H17" s="89"/>
      <c r="I17" s="89"/>
      <c r="J17" s="89"/>
      <c r="K17" s="90"/>
    </row>
    <row r="18" spans="5:11" ht="30" customHeight="1">
      <c r="E18" s="55"/>
      <c r="F18" s="55"/>
      <c r="G18" s="55"/>
      <c r="H18" s="55"/>
      <c r="I18" s="55"/>
      <c r="J18" s="55"/>
      <c r="K18" s="55"/>
    </row>
  </sheetData>
  <sheetProtection sheet="1" objects="1" scenarios="1"/>
  <protectedRanges>
    <protectedRange sqref="A5:D1024" name="範圍1"/>
    <protectedRange sqref="K13" name="範圍2"/>
  </protectedRanges>
  <mergeCells count="8">
    <mergeCell ref="E16:K17"/>
    <mergeCell ref="A1:J3"/>
    <mergeCell ref="E10:K11"/>
    <mergeCell ref="F4:G4"/>
    <mergeCell ref="F5:G5"/>
    <mergeCell ref="I4:J4"/>
    <mergeCell ref="I5:J5"/>
    <mergeCell ref="E6:J9"/>
  </mergeCells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OR RR z-test</vt:lpstr>
      <vt:lpstr>t-test</vt:lpstr>
      <vt:lpstr>pro z-test</vt:lpstr>
      <vt:lpstr>ANOVA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2009-09-24T00:30:10Z</dcterms:created>
  <dcterms:modified xsi:type="dcterms:W3CDTF">2009-12-30T09:25:55Z</dcterms:modified>
</cp:coreProperties>
</file>